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6\"/>
    </mc:Choice>
  </mc:AlternateContent>
  <bookViews>
    <workbookView xWindow="0" yWindow="0" windowWidth="19305" windowHeight="8085"/>
  </bookViews>
  <sheets>
    <sheet name="CT2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1" l="1"/>
  <c r="X23" i="1"/>
  <c r="Y17" i="1"/>
  <c r="Z17" i="1" s="1"/>
  <c r="Y2" i="1"/>
  <c r="Z2" i="1" s="1"/>
  <c r="W2" i="1"/>
  <c r="U17" i="1"/>
  <c r="U2" i="1"/>
  <c r="P17" i="1"/>
  <c r="P2" i="1"/>
  <c r="N17" i="1"/>
  <c r="N2" i="1"/>
  <c r="L17" i="1"/>
  <c r="L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17" i="1"/>
  <c r="H17" i="1" s="1"/>
  <c r="F16" i="1"/>
  <c r="F15" i="1"/>
  <c r="F14" i="1"/>
  <c r="F13" i="1"/>
  <c r="H13" i="1" s="1"/>
  <c r="F12" i="1"/>
  <c r="F11" i="1"/>
  <c r="F10" i="1"/>
  <c r="F9" i="1"/>
  <c r="H9" i="1" s="1"/>
  <c r="F8" i="1"/>
  <c r="F7" i="1"/>
  <c r="F6" i="1"/>
  <c r="F5" i="1"/>
  <c r="H5" i="1" s="1"/>
  <c r="F4" i="1"/>
  <c r="F3" i="1"/>
  <c r="F2" i="1"/>
  <c r="H6" i="1" l="1"/>
  <c r="H14" i="1"/>
  <c r="H3" i="1"/>
  <c r="H7" i="1"/>
  <c r="H11" i="1"/>
  <c r="H15" i="1"/>
  <c r="H10" i="1"/>
  <c r="H4" i="1"/>
  <c r="H8" i="1"/>
  <c r="H12" i="1"/>
  <c r="H16" i="1"/>
  <c r="H2" i="1"/>
  <c r="AA16" i="1"/>
  <c r="AB16" i="1" s="1"/>
  <c r="AA15" i="1"/>
  <c r="AA14" i="1"/>
  <c r="AA13" i="1"/>
  <c r="AA12" i="1"/>
  <c r="AB12" i="1" s="1"/>
  <c r="AA11" i="1"/>
  <c r="AA10" i="1"/>
  <c r="AA9" i="1"/>
  <c r="AA8" i="1"/>
  <c r="AB8" i="1" s="1"/>
  <c r="AA7" i="1"/>
  <c r="AA6" i="1"/>
  <c r="AA5" i="1"/>
  <c r="AA4" i="1"/>
  <c r="AB4" i="1" s="1"/>
  <c r="AA3" i="1"/>
  <c r="AA2" i="1"/>
  <c r="AE9" i="1"/>
  <c r="AE3" i="1"/>
  <c r="AB5" i="1" l="1"/>
  <c r="AB9" i="1"/>
  <c r="AB13" i="1"/>
  <c r="AB2" i="1"/>
  <c r="AB6" i="1"/>
  <c r="AB10" i="1"/>
  <c r="AB14" i="1"/>
  <c r="AB3" i="1"/>
  <c r="AB7" i="1"/>
  <c r="AB11" i="1"/>
  <c r="AB15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K10" i="1" l="1"/>
  <c r="L10" i="1" s="1"/>
  <c r="K15" i="1"/>
  <c r="L15" i="1" s="1"/>
  <c r="K13" i="1"/>
  <c r="L13" i="1" s="1"/>
  <c r="K11" i="1"/>
  <c r="L11" i="1" s="1"/>
  <c r="K8" i="1"/>
  <c r="L8" i="1" s="1"/>
  <c r="K7" i="1"/>
  <c r="L7" i="1" s="1"/>
  <c r="K6" i="1"/>
  <c r="L6" i="1" s="1"/>
  <c r="K5" i="1"/>
  <c r="L5" i="1" s="1"/>
  <c r="K4" i="1"/>
  <c r="L4" i="1" s="1"/>
  <c r="K9" i="1"/>
  <c r="L9" i="1" s="1"/>
  <c r="K17" i="1"/>
  <c r="K16" i="1"/>
  <c r="L16" i="1" s="1"/>
  <c r="K14" i="1"/>
  <c r="L14" i="1" s="1"/>
  <c r="K12" i="1"/>
  <c r="L12" i="1" s="1"/>
  <c r="K3" i="1"/>
  <c r="L3" i="1" s="1"/>
  <c r="K2" i="1"/>
  <c r="M8" i="1" l="1"/>
  <c r="N8" i="1" s="1"/>
  <c r="M15" i="1"/>
  <c r="N15" i="1" s="1"/>
  <c r="M12" i="1"/>
  <c r="N12" i="1" s="1"/>
  <c r="M6" i="1"/>
  <c r="N6" i="1" s="1"/>
  <c r="M14" i="1"/>
  <c r="N14" i="1" s="1"/>
  <c r="M17" i="1"/>
  <c r="M7" i="1"/>
  <c r="N7" i="1" s="1"/>
  <c r="M11" i="1"/>
  <c r="N11" i="1" s="1"/>
  <c r="M16" i="1"/>
  <c r="N16" i="1" s="1"/>
  <c r="M13" i="1"/>
  <c r="N13" i="1" s="1"/>
  <c r="M2" i="1"/>
  <c r="M4" i="1"/>
  <c r="N4" i="1" s="1"/>
  <c r="M3" i="1"/>
  <c r="N3" i="1" s="1"/>
  <c r="M9" i="1"/>
  <c r="N9" i="1" s="1"/>
  <c r="M5" i="1"/>
  <c r="N5" i="1" s="1"/>
  <c r="M10" i="1"/>
  <c r="N10" i="1" s="1"/>
  <c r="O6" i="1" l="1"/>
  <c r="P6" i="1" s="1"/>
  <c r="X6" i="1"/>
  <c r="T6" i="1"/>
  <c r="U6" i="1" s="1"/>
  <c r="O15" i="1"/>
  <c r="P15" i="1" s="1"/>
  <c r="X15" i="1"/>
  <c r="T15" i="1"/>
  <c r="U15" i="1" s="1"/>
  <c r="O9" i="1"/>
  <c r="P9" i="1" s="1"/>
  <c r="X9" i="1"/>
  <c r="T9" i="1"/>
  <c r="U9" i="1" s="1"/>
  <c r="T2" i="1"/>
  <c r="O2" i="1"/>
  <c r="Q2" i="1" s="1"/>
  <c r="X2" i="1"/>
  <c r="O7" i="1"/>
  <c r="P7" i="1" s="1"/>
  <c r="X7" i="1"/>
  <c r="T7" i="1"/>
  <c r="U7" i="1" s="1"/>
  <c r="O14" i="1"/>
  <c r="P14" i="1" s="1"/>
  <c r="X14" i="1"/>
  <c r="T14" i="1"/>
  <c r="U14" i="1" s="1"/>
  <c r="X12" i="1"/>
  <c r="T12" i="1"/>
  <c r="U12" i="1" s="1"/>
  <c r="O12" i="1"/>
  <c r="P12" i="1" s="1"/>
  <c r="O3" i="1"/>
  <c r="X3" i="1"/>
  <c r="T3" i="1"/>
  <c r="U3" i="1" s="1"/>
  <c r="O17" i="1"/>
  <c r="X17" i="1"/>
  <c r="O10" i="1"/>
  <c r="P10" i="1" s="1"/>
  <c r="X10" i="1"/>
  <c r="T10" i="1"/>
  <c r="U10" i="1" s="1"/>
  <c r="X16" i="1"/>
  <c r="T16" i="1"/>
  <c r="U16" i="1" s="1"/>
  <c r="O16" i="1"/>
  <c r="P16" i="1" s="1"/>
  <c r="O5" i="1"/>
  <c r="P5" i="1" s="1"/>
  <c r="X5" i="1"/>
  <c r="T5" i="1"/>
  <c r="U5" i="1" s="1"/>
  <c r="X4" i="1"/>
  <c r="T4" i="1"/>
  <c r="U4" i="1" s="1"/>
  <c r="O4" i="1"/>
  <c r="P4" i="1" s="1"/>
  <c r="O13" i="1"/>
  <c r="X13" i="1"/>
  <c r="T13" i="1"/>
  <c r="U13" i="1" s="1"/>
  <c r="O11" i="1"/>
  <c r="P11" i="1" s="1"/>
  <c r="X11" i="1"/>
  <c r="T11" i="1"/>
  <c r="U11" i="1" s="1"/>
  <c r="X8" i="1"/>
  <c r="T8" i="1"/>
  <c r="U8" i="1" s="1"/>
  <c r="O8" i="1"/>
  <c r="P8" i="1" s="1"/>
  <c r="AC2" i="1"/>
  <c r="V2" i="1"/>
  <c r="AC16" i="1" l="1"/>
  <c r="Y16" i="1"/>
  <c r="Z16" i="1" s="1"/>
  <c r="AC9" i="1"/>
  <c r="Y9" i="1"/>
  <c r="Z9" i="1" s="1"/>
  <c r="AC14" i="1"/>
  <c r="Y14" i="1"/>
  <c r="Z14" i="1" s="1"/>
  <c r="AC7" i="1"/>
  <c r="Y7" i="1"/>
  <c r="Z7" i="1" s="1"/>
  <c r="AC6" i="1"/>
  <c r="Y6" i="1"/>
  <c r="Z6" i="1" s="1"/>
  <c r="AC5" i="1"/>
  <c r="Y5" i="1"/>
  <c r="Z5" i="1" s="1"/>
  <c r="AC8" i="1"/>
  <c r="Y8" i="1"/>
  <c r="Z8" i="1" s="1"/>
  <c r="AC13" i="1"/>
  <c r="Y13" i="1"/>
  <c r="Z13" i="1" s="1"/>
  <c r="AC10" i="1"/>
  <c r="Y10" i="1"/>
  <c r="Z10" i="1" s="1"/>
  <c r="AC11" i="1"/>
  <c r="Y11" i="1"/>
  <c r="Z11" i="1" s="1"/>
  <c r="Q13" i="1"/>
  <c r="P13" i="1"/>
  <c r="AC12" i="1"/>
  <c r="Y12" i="1"/>
  <c r="Z12" i="1" s="1"/>
  <c r="Q14" i="1"/>
  <c r="Q7" i="1"/>
  <c r="AC15" i="1"/>
  <c r="Y15" i="1"/>
  <c r="Z15" i="1" s="1"/>
  <c r="AC4" i="1"/>
  <c r="Y4" i="1"/>
  <c r="Z4" i="1" s="1"/>
  <c r="W15" i="1"/>
  <c r="W11" i="1"/>
  <c r="W7" i="1"/>
  <c r="W3" i="1"/>
  <c r="W14" i="1"/>
  <c r="W10" i="1"/>
  <c r="W6" i="1"/>
  <c r="W17" i="1"/>
  <c r="W13" i="1"/>
  <c r="W9" i="1"/>
  <c r="W5" i="1"/>
  <c r="W16" i="1"/>
  <c r="W12" i="1"/>
  <c r="W8" i="1"/>
  <c r="W4" i="1"/>
  <c r="V7" i="1"/>
  <c r="AC3" i="1"/>
  <c r="Y3" i="1"/>
  <c r="Z3" i="1" s="1"/>
  <c r="Q3" i="1"/>
  <c r="P3" i="1"/>
  <c r="V11" i="1"/>
  <c r="V6" i="1"/>
  <c r="V3" i="1"/>
  <c r="V15" i="1"/>
  <c r="V5" i="1"/>
  <c r="Q16" i="1"/>
  <c r="Q17" i="1"/>
  <c r="Q12" i="1"/>
  <c r="Q9" i="1"/>
  <c r="Q15" i="1"/>
  <c r="V10" i="1"/>
  <c r="V13" i="1"/>
  <c r="V16" i="1"/>
  <c r="Q8" i="1"/>
  <c r="Q11" i="1"/>
  <c r="Q4" i="1"/>
  <c r="Q5" i="1"/>
  <c r="Q10" i="1"/>
  <c r="Q6" i="1"/>
  <c r="V8" i="1"/>
  <c r="V9" i="1"/>
  <c r="V4" i="1"/>
  <c r="V12" i="1"/>
  <c r="V14" i="1"/>
</calcChain>
</file>

<file path=xl/sharedStrings.xml><?xml version="1.0" encoding="utf-8"?>
<sst xmlns="http://schemas.openxmlformats.org/spreadsheetml/2006/main" count="49" uniqueCount="49">
  <si>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</si>
  <si>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</si>
  <si>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</si>
  <si>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</si>
  <si>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</si>
  <si>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</si>
  <si>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</si>
  <si>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</si>
  <si>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</si>
  <si>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</si>
  <si>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</si>
  <si>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</si>
  <si>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Weight Corrected Sr-90 Activity (DPM)</t>
  </si>
  <si>
    <t>Cumulative Activity (DPM)</t>
  </si>
  <si>
    <t>2 ml/min</t>
  </si>
  <si>
    <t>CT26 1 mL</t>
  </si>
  <si>
    <t>CT26 2 mL</t>
  </si>
  <si>
    <t>CT26 3 mL</t>
  </si>
  <si>
    <t>CT26 4 mL</t>
  </si>
  <si>
    <t>CT26 5 mL</t>
  </si>
  <si>
    <t>CT26 6 mL</t>
  </si>
  <si>
    <t>CT26 7 mL</t>
  </si>
  <si>
    <t>CT26 8 mL</t>
  </si>
  <si>
    <t>CT26 9 mL</t>
  </si>
  <si>
    <t>CT26 10 mL</t>
  </si>
  <si>
    <t>CT26 11 mL</t>
  </si>
  <si>
    <t>CT26 12 mL</t>
  </si>
  <si>
    <t>CT26 13 mL</t>
  </si>
  <si>
    <t>CT26 14 mL</t>
  </si>
  <si>
    <t>CT26 15 mL</t>
  </si>
  <si>
    <t>DC factor</t>
  </si>
  <si>
    <t>Decay constant of sr-90=</t>
  </si>
  <si>
    <r>
      <t>Uncertainty on counts (</t>
    </r>
    <r>
      <rPr>
        <sz val="11"/>
        <color theme="1"/>
        <rFont val="Calibri"/>
        <family val="2"/>
      </rPr>
      <t>σCPM)</t>
    </r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</si>
  <si>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</si>
  <si>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</si>
  <si>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</si>
  <si>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</si>
  <si>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</si>
  <si>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</si>
  <si>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</t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</si>
  <si>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</si>
  <si>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</si>
  <si>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</si>
  <si>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</si>
  <si>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</si>
  <si>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</si>
  <si>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Time from 05.06.2018</t>
  </si>
  <si>
    <t>DC to 05.06.2018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</si>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</sst>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2" fontId="0" fillId="0" borderId="0" xfId="0" applyNumberFormat="1"/>
    <xf numFmtId="0" fontId="0" fillId="0" borderId="0" xfId="0" applyBorder="1"/>
    <xf numFmtId="0" fontId="0" fillId="0" borderId="0" xfId="0" applyFill="1" applyBorder="1"/>
    <xf numFmtId="0" fontId="0" fillId="2" borderId="0" xfId="0" applyFill="1"/>
    <xf numFmtId="0" fontId="0" fillId="0" borderId="2" xfId="0" applyBorder="1"/>
    <xf numFmtId="0" fontId="0" fillId="0" borderId="1" xfId="0" applyBorder="1"/>
    <xf numFmtId="0" fontId="0" fillId="3" borderId="3" xfId="0" applyFill="1" applyBorder="1"/>
    <xf numFmtId="0" fontId="0" fillId="3" borderId="2" xfId="0" applyFill="1" applyBorder="1"/>
    <xf numFmtId="0" fontId="0" fillId="3" borderId="1" xfId="0" applyFill="1" applyBorder="1"/>
    <xf numFmtId="0" fontId="0" fillId="0" borderId="3" xfId="0" applyBorder="1"/>
    <xf numFmtId="0" fontId="0" fillId="0" borderId="4" xfId="0" applyBorder="1"/>
    <xf numFmtId="166" fontId="0" fillId="3" borderId="2" xfId="0" applyNumberFormat="1" applyFill="1" applyBorder="1"/>
    <xf numFmtId="166" fontId="0" fillId="3" borderId="1" xfId="0" applyNumberFormat="1" applyFill="1" applyBorder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3" borderId="0" xfId="0" applyFill="1" applyBorder="1"/>
    <xf numFmtId="166" fontId="0" fillId="3" borderId="0" xfId="0" applyNumberFormat="1" applyFill="1" applyBorder="1"/>
    <xf numFmtId="22" fontId="0" fillId="0" borderId="2" xfId="0" applyNumberFormat="1" applyBorder="1"/>
    <xf numFmtId="2" fontId="0" fillId="0" borderId="2" xfId="0" applyNumberFormat="1" applyBorder="1"/>
    <xf numFmtId="164" fontId="0" fillId="0" borderId="2" xfId="0" applyNumberFormat="1" applyBorder="1"/>
    <xf numFmtId="165" fontId="0" fillId="0" borderId="2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" fontId="0" fillId="3" borderId="2" xfId="0" applyNumberFormat="1" applyFill="1" applyBorder="1"/>
    <xf numFmtId="2" fontId="0" fillId="3" borderId="1" xfId="0" applyNumberFormat="1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topLeftCell="P1" workbookViewId="0">
      <selection activeCell="Z27" sqref="Z27"/>
    </sheetView>
  </sheetViews>
  <sheetFormatPr defaultRowHeight="15" x14ac:dyDescent="0.25"/>
  <cols>
    <col min="1" max="1" width="13.5703125" bestFit="1" customWidth="1"/>
    <col min="2" max="3" width="15.85546875" bestFit="1" customWidth="1"/>
    <col min="4" max="4" width="17.5703125" bestFit="1" customWidth="1"/>
    <col min="5" max="5" width="20" style="33" bestFit="1" customWidth="1"/>
    <col min="6" max="6" width="18" style="33" bestFit="1" customWidth="1"/>
    <col min="7" max="7" width="31.5703125" bestFit="1" customWidth="1"/>
    <col min="8" max="8" width="27.85546875" bestFit="1" customWidth="1"/>
    <col min="9" max="9" width="17.7109375" bestFit="1" customWidth="1"/>
    <col min="10" max="10" width="19.28515625" bestFit="1" customWidth="1"/>
    <col min="11" max="11" width="14.7109375" bestFit="1" customWidth="1"/>
    <col min="12" max="12" width="16.28515625" bestFit="1" customWidth="1"/>
    <col min="13" max="13" width="12.140625" bestFit="1" customWidth="1"/>
    <col min="14" max="14" width="13.85546875" bestFit="1" customWidth="1"/>
    <col min="15" max="15" width="12" bestFit="1" customWidth="1"/>
    <col min="16" max="16" width="13.140625" bestFit="1" customWidth="1"/>
    <col min="17" max="17" width="10" bestFit="1" customWidth="1"/>
    <col min="18" max="18" width="16" bestFit="1" customWidth="1"/>
    <col min="19" max="19" width="20.42578125" bestFit="1" customWidth="1"/>
    <col min="20" max="20" width="35.42578125" bestFit="1" customWidth="1"/>
    <col min="21" max="21" width="37" bestFit="1" customWidth="1"/>
    <col min="22" max="22" width="24.7109375" bestFit="1" customWidth="1"/>
    <col min="23" max="23" width="26.42578125" bestFit="1" customWidth="1"/>
    <col min="24" max="24" width="12" bestFit="1" customWidth="1"/>
    <col min="25" max="25" width="13.5703125" bestFit="1" customWidth="1"/>
    <col min="26" max="26" width="16" bestFit="1" customWidth="1"/>
    <col min="27" max="27" width="20" bestFit="1" customWidth="1"/>
    <col min="28" max="28" width="10.5703125" bestFit="1" customWidth="1"/>
    <col min="29" max="29" width="15.42578125" bestFit="1" customWidth="1"/>
    <col min="30" max="30" width="24.7109375" customWidth="1"/>
    <col min="31" max="31" width="22.140625" bestFit="1" customWidth="1"/>
  </cols>
  <sheetData>
    <row r="1" spans="1:31" ht="15.75" thickBot="1" x14ac:dyDescent="0.3">
      <c r="A1" s="27" t="s">
        <v>3</v>
      </c>
      <c r="B1" s="24" t="s">
        <v>5</v>
      </c>
      <c r="C1" s="10" t="s">
        <v>4</v>
      </c>
      <c r="D1" s="10" t="s">
        <v>0</v>
      </c>
      <c r="E1" s="7" t="s">
        <v>33</v>
      </c>
      <c r="F1" s="7" t="s">
        <v>34</v>
      </c>
      <c r="G1" s="10" t="s">
        <v>10</v>
      </c>
      <c r="H1" s="10" t="s">
        <v>32</v>
      </c>
      <c r="I1" s="10" t="s">
        <v>1</v>
      </c>
      <c r="J1" s="7" t="s">
        <v>35</v>
      </c>
      <c r="K1" s="10" t="s">
        <v>6</v>
      </c>
      <c r="L1" s="7" t="s">
        <v>36</v>
      </c>
      <c r="M1" s="10" t="s">
        <v>7</v>
      </c>
      <c r="N1" s="7" t="s">
        <v>37</v>
      </c>
      <c r="O1" s="10" t="s">
        <v>8</v>
      </c>
      <c r="P1" s="7" t="s">
        <v>38</v>
      </c>
      <c r="Q1" s="10" t="s">
        <v>9</v>
      </c>
      <c r="R1" s="10" t="s">
        <v>39</v>
      </c>
      <c r="S1" s="7" t="s">
        <v>40</v>
      </c>
      <c r="T1" s="10" t="s">
        <v>12</v>
      </c>
      <c r="U1" s="7" t="s">
        <v>41</v>
      </c>
      <c r="V1" s="10" t="s">
        <v>13</v>
      </c>
      <c r="W1" s="7" t="s">
        <v>42</v>
      </c>
      <c r="X1" s="10" t="s">
        <v>43</v>
      </c>
      <c r="Y1" s="7" t="s">
        <v>44</v>
      </c>
      <c r="Z1" s="7" t="s">
        <v>45</v>
      </c>
      <c r="AA1" s="10" t="s">
        <v>46</v>
      </c>
      <c r="AB1" s="10" t="s">
        <v>30</v>
      </c>
      <c r="AC1" s="11" t="s">
        <v>47</v>
      </c>
      <c r="AD1" s="3"/>
    </row>
    <row r="2" spans="1:31" x14ac:dyDescent="0.25">
      <c r="A2" s="28" t="s">
        <v>15</v>
      </c>
      <c r="B2" s="25">
        <v>43327.504166666666</v>
      </c>
      <c r="C2" s="20">
        <v>43330.955555555556</v>
      </c>
      <c r="D2" s="21">
        <v>8.49</v>
      </c>
      <c r="E2" s="31">
        <v>6.34</v>
      </c>
      <c r="F2" s="8">
        <f>D2*(E2/100)</f>
        <v>0.53826600000000002</v>
      </c>
      <c r="G2" s="5">
        <f>D2-$D$17</f>
        <v>1.4700000000000006</v>
      </c>
      <c r="H2" s="8">
        <f>SQRT((F2^2)+(F$17^2))</f>
        <v>0.72741934617660531</v>
      </c>
      <c r="I2" s="22">
        <f>(C2-B2)*24</f>
        <v>82.833333333372138</v>
      </c>
      <c r="J2" s="12">
        <f>1/60</f>
        <v>1.6666666666666666E-2</v>
      </c>
      <c r="K2" s="5">
        <f>1-EXP(-$AE$3*I2)</f>
        <v>0.60745691668453605</v>
      </c>
      <c r="L2" s="8">
        <f>K2*SQRT(((J2/I2)^2))</f>
        <v>1.2222473172721356E-4</v>
      </c>
      <c r="M2" s="5">
        <f>G2/((1+K2))</f>
        <v>0.91448796216072314</v>
      </c>
      <c r="N2" s="8">
        <f t="shared" ref="N2:N22" si="0">M2*SQRT(((H2/G2)^2)+((L2/K2)^2))</f>
        <v>0.45252808878332945</v>
      </c>
      <c r="O2" s="5">
        <f>M2*K2</f>
        <v>0.55551203783927761</v>
      </c>
      <c r="P2" s="8">
        <f t="shared" ref="P2:P22" si="1">O2*SQRT(((N2/M2)^2)+((L2/K2)^2))</f>
        <v>0.27489134024938122</v>
      </c>
      <c r="Q2" s="5">
        <f>M2+O2</f>
        <v>1.4700000000000006</v>
      </c>
      <c r="R2" s="5">
        <v>0.8855000000000004</v>
      </c>
      <c r="S2" s="8">
        <v>1.4142135623730951E-4</v>
      </c>
      <c r="T2" s="5">
        <f>M2/R2</f>
        <v>1.0327362644389868</v>
      </c>
      <c r="U2" s="8">
        <f>T2*SQRT(((S2/R2)^2)+((N2/M2)^2))</f>
        <v>0.51104247583501194</v>
      </c>
      <c r="V2" s="5">
        <f>SUM($T$2:T2)</f>
        <v>1.0327362644389868</v>
      </c>
      <c r="W2" s="8">
        <f>SQRT((U2^2))</f>
        <v>0.51104247583501194</v>
      </c>
      <c r="X2" s="5">
        <f>M2/60</f>
        <v>1.5241466036012053E-2</v>
      </c>
      <c r="Y2" s="8">
        <f>X2*SQRT(((N2/M2)^2))</f>
        <v>7.5421348130554917E-3</v>
      </c>
      <c r="Z2" s="8">
        <f>Y2^2</f>
        <v>5.6883797538303598E-5</v>
      </c>
      <c r="AA2" s="5">
        <f>(C2-$AE$6)*24</f>
        <v>106.93333333334886</v>
      </c>
      <c r="AB2" s="23">
        <f>EXP(-$AE$9*AA2)</f>
        <v>0.99970624979581602</v>
      </c>
      <c r="AC2" s="5">
        <f>X2/AB2</f>
        <v>1.5245944535332285E-2</v>
      </c>
      <c r="AE2" t="s">
        <v>2</v>
      </c>
    </row>
    <row r="3" spans="1:31" x14ac:dyDescent="0.25">
      <c r="A3" s="29" t="s">
        <v>16</v>
      </c>
      <c r="B3" s="26">
        <v>43327.504513888889</v>
      </c>
      <c r="C3" s="14">
        <v>43330.977777777778</v>
      </c>
      <c r="D3" s="15">
        <v>8.76</v>
      </c>
      <c r="E3" s="32">
        <v>6.24</v>
      </c>
      <c r="F3" s="9">
        <f t="shared" ref="F3:F17" si="2">D3*(E3/100)</f>
        <v>0.546624</v>
      </c>
      <c r="G3" s="6">
        <f t="shared" ref="G3:G17" si="3">D3-$D$17</f>
        <v>1.7400000000000002</v>
      </c>
      <c r="H3" s="9">
        <f>SQRT((F3^2)+(F$17^2))</f>
        <v>0.73362552832627081</v>
      </c>
      <c r="I3" s="16">
        <f t="shared" ref="I3:I17" si="4">(C3-B3)*24</f>
        <v>83.358333333337214</v>
      </c>
      <c r="J3" s="13">
        <f t="shared" ref="J3:J22" si="5">1/60</f>
        <v>1.6666666666666666E-2</v>
      </c>
      <c r="K3" s="6">
        <f>1-EXP(-$AE$3*I3)</f>
        <v>0.60977653955233202</v>
      </c>
      <c r="L3" s="9">
        <f t="shared" ref="L3:L22" si="6">K3*SQRT(((J3/I3)^2))</f>
        <v>1.2191873229077351E-4</v>
      </c>
      <c r="M3" s="6">
        <f>G3/((1+K3))</f>
        <v>1.0808953648211834</v>
      </c>
      <c r="N3" s="9">
        <f t="shared" si="0"/>
        <v>0.45573133462288123</v>
      </c>
      <c r="O3" s="6">
        <f>M3*K3</f>
        <v>0.65910463517881668</v>
      </c>
      <c r="P3" s="9">
        <f t="shared" si="1"/>
        <v>0.27789430743820392</v>
      </c>
      <c r="Q3" s="6">
        <f t="shared" ref="Q3:Q17" si="7">M3+O3</f>
        <v>1.7400000000000002</v>
      </c>
      <c r="R3" s="6">
        <v>0.94629999999999992</v>
      </c>
      <c r="S3" s="9">
        <v>1.4142135623730951E-4</v>
      </c>
      <c r="T3" s="6">
        <f>M3/R3</f>
        <v>1.1422332926357217</v>
      </c>
      <c r="U3" s="9">
        <f t="shared" ref="U3:U22" si="8">T3*SQRT(((S3/R3)^2)+((N3/M3)^2))</f>
        <v>0.48159290209396788</v>
      </c>
      <c r="V3" s="6">
        <f>SUM($T$2:T3)</f>
        <v>2.1749695570747085</v>
      </c>
      <c r="W3" s="9">
        <f>SQRT((U3^2)+(U2^2))</f>
        <v>0.70220804285828919</v>
      </c>
      <c r="X3" s="6">
        <f t="shared" ref="X3:X17" si="9">M3/60</f>
        <v>1.8014922747019723E-2</v>
      </c>
      <c r="Y3" s="9">
        <f t="shared" ref="Y3:Y16" si="10">X3*SQRT(((N3/M3)^2))</f>
        <v>7.5955222437146877E-3</v>
      </c>
      <c r="Z3" s="9">
        <f t="shared" ref="Z3:Z16" si="11">Y3^2</f>
        <v>5.7691958154764603E-5</v>
      </c>
      <c r="AA3" s="6">
        <f>(C3-$AE$6)*24</f>
        <v>107.46666666667443</v>
      </c>
      <c r="AB3" s="17">
        <f t="shared" ref="AB3:AB16" si="12">EXP(-$AE$9*AA3)</f>
        <v>0.99970478492379522</v>
      </c>
      <c r="AC3" s="6">
        <f t="shared" ref="AC3:AC16" si="13">X3/AB3</f>
        <v>1.802024259431043E-2</v>
      </c>
      <c r="AE3">
        <f>LN(2)/61.4</f>
        <v>1.1289042028663604E-2</v>
      </c>
    </row>
    <row r="4" spans="1:31" x14ac:dyDescent="0.25">
      <c r="A4" s="29" t="s">
        <v>17</v>
      </c>
      <c r="B4" s="26">
        <v>43327.504861111112</v>
      </c>
      <c r="C4" s="14">
        <v>43331.000694444447</v>
      </c>
      <c r="D4" s="15">
        <v>9</v>
      </c>
      <c r="E4" s="32">
        <v>6.15</v>
      </c>
      <c r="F4" s="9">
        <f t="shared" si="2"/>
        <v>0.5535000000000001</v>
      </c>
      <c r="G4" s="6">
        <f t="shared" si="3"/>
        <v>1.9800000000000004</v>
      </c>
      <c r="H4" s="9">
        <f t="shared" ref="H4:H17" si="14">SQRT((F4^2)+(F$17^2))</f>
        <v>0.73876306650779455</v>
      </c>
      <c r="I4" s="16">
        <f t="shared" si="4"/>
        <v>83.900000000023283</v>
      </c>
      <c r="J4" s="13">
        <f t="shared" si="5"/>
        <v>1.6666666666666666E-2</v>
      </c>
      <c r="K4" s="6">
        <f>1-EXP(-$AE$3*I4)</f>
        <v>0.61215543535382455</v>
      </c>
      <c r="L4" s="9">
        <f t="shared" si="6"/>
        <v>1.21604178655871E-4</v>
      </c>
      <c r="M4" s="6">
        <f>G4/((1+K4))</f>
        <v>1.2281694162854986</v>
      </c>
      <c r="N4" s="9">
        <f t="shared" si="0"/>
        <v>0.45824562260708934</v>
      </c>
      <c r="O4" s="6">
        <f>M4*K4</f>
        <v>0.75183058371450195</v>
      </c>
      <c r="P4" s="9">
        <f t="shared" si="1"/>
        <v>0.28051758836393226</v>
      </c>
      <c r="Q4" s="6">
        <f t="shared" si="7"/>
        <v>1.9800000000000004</v>
      </c>
      <c r="R4" s="6">
        <v>1.0347</v>
      </c>
      <c r="S4" s="9">
        <v>1.4142135623730951E-4</v>
      </c>
      <c r="T4" s="6">
        <f>M4/R4</f>
        <v>1.1869811696970123</v>
      </c>
      <c r="U4" s="9">
        <f t="shared" si="8"/>
        <v>0.44287779390464732</v>
      </c>
      <c r="V4" s="6">
        <f>SUM($T$2:T4)</f>
        <v>3.3619507267717208</v>
      </c>
      <c r="W4" s="9">
        <f>SQRT((U4^2)+(U3^2)+(U2^2))</f>
        <v>0.83020291241883526</v>
      </c>
      <c r="X4" s="6">
        <f t="shared" si="9"/>
        <v>2.0469490271424976E-2</v>
      </c>
      <c r="Y4" s="9">
        <f t="shared" si="10"/>
        <v>7.6374270434514894E-3</v>
      </c>
      <c r="Z4" s="9">
        <f t="shared" si="11"/>
        <v>5.8330291844044156E-5</v>
      </c>
      <c r="AA4" s="6">
        <f>(C4-$AE$6)*24</f>
        <v>108.01666666672099</v>
      </c>
      <c r="AB4" s="17">
        <f t="shared" si="12"/>
        <v>0.99970327427677175</v>
      </c>
      <c r="AC4" s="6">
        <f t="shared" si="13"/>
        <v>2.0475565898524725E-2</v>
      </c>
    </row>
    <row r="5" spans="1:31" x14ac:dyDescent="0.25">
      <c r="A5" s="29" t="s">
        <v>18</v>
      </c>
      <c r="B5" s="26">
        <v>43327.505208449074</v>
      </c>
      <c r="C5" s="14">
        <v>43331.023611111108</v>
      </c>
      <c r="D5" s="15">
        <v>10.27</v>
      </c>
      <c r="E5" s="32">
        <v>5.76</v>
      </c>
      <c r="F5" s="9">
        <f t="shared" si="2"/>
        <v>0.59155199999999997</v>
      </c>
      <c r="G5" s="6">
        <f t="shared" si="3"/>
        <v>3.25</v>
      </c>
      <c r="H5" s="9">
        <f t="shared" si="14"/>
        <v>0.76768638592852478</v>
      </c>
      <c r="I5" s="16">
        <f t="shared" si="4"/>
        <v>84.441663888806943</v>
      </c>
      <c r="J5" s="13">
        <f t="shared" si="5"/>
        <v>1.6666666666666666E-2</v>
      </c>
      <c r="K5" s="6">
        <f>1-EXP(-$AE$3*I5)</f>
        <v>0.61451981674738132</v>
      </c>
      <c r="L5" s="9">
        <f t="shared" si="6"/>
        <v>1.2129079975586914E-4</v>
      </c>
      <c r="M5" s="6">
        <f>G5/((1+K5))</f>
        <v>2.0129824151353337</v>
      </c>
      <c r="N5" s="9">
        <f t="shared" si="0"/>
        <v>0.47548914913680923</v>
      </c>
      <c r="O5" s="6">
        <f>M5*K5</f>
        <v>1.2370175848646663</v>
      </c>
      <c r="P5" s="9">
        <f t="shared" si="1"/>
        <v>0.29219760679971629</v>
      </c>
      <c r="Q5" s="6">
        <f t="shared" si="7"/>
        <v>3.25</v>
      </c>
      <c r="R5" s="6">
        <v>0.89860000000000007</v>
      </c>
      <c r="S5" s="9">
        <v>1.4142135623730951E-4</v>
      </c>
      <c r="T5" s="6">
        <f>M5/R5</f>
        <v>2.2401317773595966</v>
      </c>
      <c r="U5" s="9">
        <f t="shared" si="8"/>
        <v>0.52914450776121691</v>
      </c>
      <c r="V5" s="6">
        <f>SUM($T$2:T5)</f>
        <v>5.6020825041313174</v>
      </c>
      <c r="W5" s="9">
        <f>SQRT((U5^2)+(U4^2)+(U3^2)+(U2^2))</f>
        <v>0.98449519342786873</v>
      </c>
      <c r="X5" s="6">
        <f t="shared" si="9"/>
        <v>3.3549706918922229E-2</v>
      </c>
      <c r="Y5" s="9">
        <f t="shared" si="10"/>
        <v>7.9248191522801534E-3</v>
      </c>
      <c r="Z5" s="9">
        <f t="shared" si="11"/>
        <v>6.2802758596346329E-5</v>
      </c>
      <c r="AA5" s="6">
        <f>(C5-$AE$6)*24</f>
        <v>108.56666666659294</v>
      </c>
      <c r="AB5" s="17">
        <f t="shared" si="12"/>
        <v>0.99970176363203145</v>
      </c>
      <c r="AC5" s="6">
        <f t="shared" si="13"/>
        <v>3.3559715646626735E-2</v>
      </c>
    </row>
    <row r="6" spans="1:31" x14ac:dyDescent="0.25">
      <c r="A6" s="29" t="s">
        <v>19</v>
      </c>
      <c r="B6" s="26">
        <v>43327.505555729163</v>
      </c>
      <c r="C6" s="14">
        <v>43331.046527777777</v>
      </c>
      <c r="D6" s="15">
        <v>32.75</v>
      </c>
      <c r="E6" s="32">
        <v>3.23</v>
      </c>
      <c r="F6" s="9">
        <f t="shared" si="2"/>
        <v>1.057825</v>
      </c>
      <c r="G6" s="6">
        <f t="shared" si="3"/>
        <v>25.73</v>
      </c>
      <c r="H6" s="9">
        <f t="shared" si="14"/>
        <v>1.1655051904908018</v>
      </c>
      <c r="I6" s="16">
        <f t="shared" si="4"/>
        <v>84.98332916671643</v>
      </c>
      <c r="J6" s="13">
        <f t="shared" si="5"/>
        <v>1.6666666666666666E-2</v>
      </c>
      <c r="K6" s="6">
        <f>1-EXP(-$AE$3*I6)</f>
        <v>0.61686979038682188</v>
      </c>
      <c r="L6" s="9">
        <f t="shared" si="6"/>
        <v>1.2097858808219409E-4</v>
      </c>
      <c r="M6" s="6">
        <f>G6/((1+K6))</f>
        <v>15.913464493541143</v>
      </c>
      <c r="N6" s="9">
        <f t="shared" si="0"/>
        <v>0.72084723269557627</v>
      </c>
      <c r="O6" s="6">
        <f>M6*K6</f>
        <v>9.8165355064588571</v>
      </c>
      <c r="P6" s="9">
        <f t="shared" si="1"/>
        <v>0.44467304885423242</v>
      </c>
      <c r="Q6" s="6">
        <f t="shared" si="7"/>
        <v>25.73</v>
      </c>
      <c r="R6" s="6">
        <v>0.81890000000000018</v>
      </c>
      <c r="S6" s="9">
        <v>1.4142135623730951E-4</v>
      </c>
      <c r="T6" s="6">
        <f>M6/R6</f>
        <v>19.432732315961825</v>
      </c>
      <c r="U6" s="9">
        <f t="shared" si="8"/>
        <v>0.88026922870713031</v>
      </c>
      <c r="V6" s="6">
        <f>SUM($T$2:T6)</f>
        <v>25.034814820093143</v>
      </c>
      <c r="W6" s="9">
        <f>SQRT((U6^2)+(U5^2)+(U4^2)+(U3^2)+(U2^2))</f>
        <v>1.3206455621745083</v>
      </c>
      <c r="X6" s="6">
        <f t="shared" si="9"/>
        <v>0.26522440822568571</v>
      </c>
      <c r="Y6" s="9">
        <f t="shared" si="10"/>
        <v>1.201412054492627E-2</v>
      </c>
      <c r="Z6" s="9">
        <f t="shared" si="11"/>
        <v>1.4433909246801952E-4</v>
      </c>
      <c r="AA6" s="6">
        <f>(C6-$AE$6)*24</f>
        <v>109.1166666666395</v>
      </c>
      <c r="AB6" s="17">
        <f t="shared" si="12"/>
        <v>0.99970025298957332</v>
      </c>
      <c r="AC6" s="6">
        <f t="shared" si="13"/>
        <v>0.26530393228624294</v>
      </c>
      <c r="AE6" s="1">
        <v>43326.5</v>
      </c>
    </row>
    <row r="7" spans="1:31" x14ac:dyDescent="0.25">
      <c r="A7" s="29" t="s">
        <v>20</v>
      </c>
      <c r="B7" s="26">
        <v>43327.50590300926</v>
      </c>
      <c r="C7" s="14">
        <v>43331.068749999999</v>
      </c>
      <c r="D7" s="15">
        <v>182.31</v>
      </c>
      <c r="E7" s="32">
        <v>1.37</v>
      </c>
      <c r="F7" s="9">
        <f t="shared" si="2"/>
        <v>2.4976470000000002</v>
      </c>
      <c r="G7" s="6">
        <f t="shared" si="3"/>
        <v>175.29</v>
      </c>
      <c r="H7" s="9">
        <f t="shared" si="14"/>
        <v>2.545122620826942</v>
      </c>
      <c r="I7" s="16">
        <f t="shared" si="4"/>
        <v>85.508327777730301</v>
      </c>
      <c r="J7" s="13">
        <f t="shared" si="5"/>
        <v>1.6666666666666666E-2</v>
      </c>
      <c r="K7" s="6">
        <f>1-EXP(-$AE$3*I7)</f>
        <v>0.61913378455481594</v>
      </c>
      <c r="L7" s="9">
        <f t="shared" si="6"/>
        <v>1.2067709283322431E-4</v>
      </c>
      <c r="M7" s="6">
        <f>G7/((1+K7))</f>
        <v>108.26159127313642</v>
      </c>
      <c r="N7" s="9">
        <f t="shared" si="0"/>
        <v>1.5720454741513377</v>
      </c>
      <c r="O7" s="6">
        <f>M7*K7</f>
        <v>67.028408726863589</v>
      </c>
      <c r="P7" s="9">
        <f t="shared" si="1"/>
        <v>0.9733941436583855</v>
      </c>
      <c r="Q7" s="6">
        <f t="shared" si="7"/>
        <v>175.29000000000002</v>
      </c>
      <c r="R7" s="6">
        <v>0.81269999999999953</v>
      </c>
      <c r="S7" s="9">
        <v>1.4142135623730951E-4</v>
      </c>
      <c r="T7" s="6">
        <f>M7/R7</f>
        <v>133.21224470670171</v>
      </c>
      <c r="U7" s="9">
        <f t="shared" si="8"/>
        <v>1.934487943530377</v>
      </c>
      <c r="V7" s="6">
        <f>SUM($T$2:T7)</f>
        <v>158.24705952679486</v>
      </c>
      <c r="W7" s="9">
        <f>SQRT((U7^2)+(U6^2)+(U5^2)+(U4^2)+(U3^2)+(U2^2))</f>
        <v>2.3422955203294928</v>
      </c>
      <c r="X7" s="6">
        <f t="shared" si="9"/>
        <v>1.8043598545522737</v>
      </c>
      <c r="Y7" s="9">
        <f t="shared" si="10"/>
        <v>2.6200757902522295E-2</v>
      </c>
      <c r="Z7" s="9">
        <f t="shared" si="11"/>
        <v>6.8647971466658452E-4</v>
      </c>
      <c r="AA7" s="6">
        <f>(C7-$AE$6)*24</f>
        <v>109.64999999996508</v>
      </c>
      <c r="AB7" s="17">
        <f t="shared" si="12"/>
        <v>0.99969878812633961</v>
      </c>
      <c r="AC7" s="6">
        <f t="shared" si="13"/>
        <v>1.8049035129211768</v>
      </c>
    </row>
    <row r="8" spans="1:31" x14ac:dyDescent="0.25">
      <c r="A8" s="29" t="s">
        <v>21</v>
      </c>
      <c r="B8" s="26">
        <v>43327.506250289349</v>
      </c>
      <c r="C8" s="14">
        <v>43331.091666666667</v>
      </c>
      <c r="D8" s="15">
        <v>317.87</v>
      </c>
      <c r="E8" s="32">
        <v>1.04</v>
      </c>
      <c r="F8" s="9">
        <f t="shared" si="2"/>
        <v>3.3058479999999997</v>
      </c>
      <c r="G8" s="6">
        <f t="shared" si="3"/>
        <v>310.85000000000002</v>
      </c>
      <c r="H8" s="9">
        <f t="shared" si="14"/>
        <v>3.3418616993436454</v>
      </c>
      <c r="I8" s="16">
        <f t="shared" si="4"/>
        <v>86.049993055639789</v>
      </c>
      <c r="J8" s="13">
        <f t="shared" si="5"/>
        <v>1.6666666666666666E-2</v>
      </c>
      <c r="K8" s="6">
        <f>1-EXP(-$AE$3*I8)</f>
        <v>0.62145563041183927</v>
      </c>
      <c r="L8" s="9">
        <f t="shared" si="6"/>
        <v>1.2036716648541875E-4</v>
      </c>
      <c r="M8" s="6">
        <f>G8/((1+K8))</f>
        <v>191.71045705459491</v>
      </c>
      <c r="N8" s="9">
        <f t="shared" si="0"/>
        <v>2.0613601395966374</v>
      </c>
      <c r="O8" s="6">
        <f>M8*K8</f>
        <v>119.13954294540513</v>
      </c>
      <c r="P8" s="9">
        <f t="shared" si="1"/>
        <v>1.281251680808305</v>
      </c>
      <c r="Q8" s="6">
        <f t="shared" si="7"/>
        <v>310.85000000000002</v>
      </c>
      <c r="R8" s="6">
        <v>0.8006000000000002</v>
      </c>
      <c r="S8" s="9">
        <v>1.4142135623730951E-4</v>
      </c>
      <c r="T8" s="6">
        <f>M8/R8</f>
        <v>239.45847746014846</v>
      </c>
      <c r="U8" s="9">
        <f t="shared" si="8"/>
        <v>2.5751165231590263</v>
      </c>
      <c r="V8" s="6">
        <f>SUM($T$2:T8)</f>
        <v>397.70553698694334</v>
      </c>
      <c r="W8" s="9">
        <f>SQRT((U8^2)+(U7^2)+(U6^2)+(U5^2)+(U4^2)+(U3^2)+(U2^2))</f>
        <v>3.4810305101222889</v>
      </c>
      <c r="X8" s="6">
        <f t="shared" si="9"/>
        <v>3.1951742842432487</v>
      </c>
      <c r="Y8" s="9">
        <f t="shared" si="10"/>
        <v>3.4356002326610624E-2</v>
      </c>
      <c r="Z8" s="9">
        <f t="shared" si="11"/>
        <v>1.1803348958660746E-3</v>
      </c>
      <c r="AA8" s="6">
        <f>(C8-$AE$6)*24</f>
        <v>110.20000000001164</v>
      </c>
      <c r="AB8" s="17">
        <f t="shared" si="12"/>
        <v>0.99969727748837789</v>
      </c>
      <c r="AC8" s="6">
        <f t="shared" si="13"/>
        <v>3.1961418283250196</v>
      </c>
      <c r="AE8" t="s">
        <v>31</v>
      </c>
    </row>
    <row r="9" spans="1:31" x14ac:dyDescent="0.25">
      <c r="A9" s="29" t="s">
        <v>22</v>
      </c>
      <c r="B9" s="26">
        <v>43327.506597569445</v>
      </c>
      <c r="C9" s="14">
        <v>43331.114583391201</v>
      </c>
      <c r="D9" s="15">
        <v>257.2</v>
      </c>
      <c r="E9" s="32">
        <v>1.1499999999999999</v>
      </c>
      <c r="F9" s="9">
        <f t="shared" si="2"/>
        <v>2.9577999999999998</v>
      </c>
      <c r="G9" s="6">
        <f t="shared" si="3"/>
        <v>250.17999999999998</v>
      </c>
      <c r="H9" s="9">
        <f t="shared" si="14"/>
        <v>2.9979975747882119</v>
      </c>
      <c r="I9" s="16">
        <f t="shared" si="4"/>
        <v>86.591659722151235</v>
      </c>
      <c r="J9" s="13">
        <f t="shared" si="5"/>
        <v>1.6666666666666666E-2</v>
      </c>
      <c r="K9" s="6">
        <f>1-EXP(-$AE$3*I9)</f>
        <v>0.62376332767373466</v>
      </c>
      <c r="L9" s="9">
        <f t="shared" si="6"/>
        <v>1.2005839239699281E-4</v>
      </c>
      <c r="M9" s="6">
        <f>G9/((1+K9))</f>
        <v>154.07417801362556</v>
      </c>
      <c r="N9" s="9">
        <f t="shared" si="0"/>
        <v>1.8465648362644871</v>
      </c>
      <c r="O9" s="6">
        <f>M9*K9</f>
        <v>96.105821986374437</v>
      </c>
      <c r="P9" s="9">
        <f t="shared" si="1"/>
        <v>1.1519679529948068</v>
      </c>
      <c r="Q9" s="6">
        <f t="shared" si="7"/>
        <v>250.18</v>
      </c>
      <c r="R9" s="6">
        <v>0.79319999999999968</v>
      </c>
      <c r="S9" s="9">
        <v>1.4142135623730951E-4</v>
      </c>
      <c r="T9" s="6">
        <f>M9/R9</f>
        <v>194.2437947725991</v>
      </c>
      <c r="U9" s="9">
        <f t="shared" si="8"/>
        <v>2.3282515807327555</v>
      </c>
      <c r="V9" s="6">
        <f>SUM($T$2:T9)</f>
        <v>591.94933175954247</v>
      </c>
      <c r="W9" s="9">
        <f>SQRT((U9^2)+(U8^2)+(U7^2)+(U6^2)+(U5^2)+(U4^2)+(U3^2)+(U2^2))</f>
        <v>4.1878787990564881</v>
      </c>
      <c r="X9" s="6">
        <f t="shared" si="9"/>
        <v>2.5679029668937594</v>
      </c>
      <c r="Y9" s="9">
        <f t="shared" si="10"/>
        <v>3.0776080604408122E-2</v>
      </c>
      <c r="Z9" s="9">
        <f t="shared" si="11"/>
        <v>9.4716713736902572E-4</v>
      </c>
      <c r="AA9" s="6">
        <f>(C9-$AE$6)*24</f>
        <v>110.75000138883479</v>
      </c>
      <c r="AB9" s="17">
        <f t="shared" si="12"/>
        <v>0.99969576684888439</v>
      </c>
      <c r="AC9" s="6">
        <f t="shared" si="13"/>
        <v>2.568684445856944</v>
      </c>
      <c r="AE9">
        <f>LN(2)/252288</f>
        <v>2.7474441137110973E-6</v>
      </c>
    </row>
    <row r="10" spans="1:31" x14ac:dyDescent="0.25">
      <c r="A10" s="29" t="s">
        <v>23</v>
      </c>
      <c r="B10" s="26">
        <v>43327.506944849534</v>
      </c>
      <c r="C10" s="14">
        <v>43331.137500115743</v>
      </c>
      <c r="D10" s="15">
        <v>142.41999999999999</v>
      </c>
      <c r="E10" s="32">
        <v>1.55</v>
      </c>
      <c r="F10" s="9">
        <f t="shared" si="2"/>
        <v>2.2075099999999996</v>
      </c>
      <c r="G10" s="6">
        <f t="shared" si="3"/>
        <v>135.39999999999998</v>
      </c>
      <c r="H10" s="9">
        <f t="shared" si="14"/>
        <v>2.2610858052130616</v>
      </c>
      <c r="I10" s="16">
        <f t="shared" si="4"/>
        <v>87.133326389011927</v>
      </c>
      <c r="J10" s="13">
        <f t="shared" si="5"/>
        <v>1.6666666666666666E-2</v>
      </c>
      <c r="K10" s="6">
        <f>1-EXP(-$AE$3*I10)</f>
        <v>0.62605695666114936</v>
      </c>
      <c r="L10" s="9">
        <f t="shared" si="6"/>
        <v>1.1975076636503787E-4</v>
      </c>
      <c r="M10" s="6">
        <f>G10/((1+K10))</f>
        <v>83.268915916710839</v>
      </c>
      <c r="N10" s="9">
        <f t="shared" si="0"/>
        <v>1.3906241830825616</v>
      </c>
      <c r="O10" s="6">
        <f>M10*K10</f>
        <v>52.131084083289124</v>
      </c>
      <c r="P10" s="9">
        <f t="shared" si="1"/>
        <v>0.87066704634648806</v>
      </c>
      <c r="Q10" s="6">
        <f t="shared" si="7"/>
        <v>135.39999999999998</v>
      </c>
      <c r="R10" s="6">
        <v>0.80339999999999989</v>
      </c>
      <c r="S10" s="9">
        <v>1.4142135623730951E-4</v>
      </c>
      <c r="T10" s="6">
        <f>M10/R10</f>
        <v>103.64565087965005</v>
      </c>
      <c r="U10" s="9">
        <f t="shared" si="8"/>
        <v>1.7310199525170589</v>
      </c>
      <c r="V10" s="6">
        <f>SUM($T$2:T10)</f>
        <v>695.59498263919249</v>
      </c>
      <c r="W10" s="9">
        <f>SQRT((U10^2)+(U9^2)+(U8^2)+(U7^2)+(U6^2)+(U5^2)+(U4^2)+(U3^2)+(U2^2))</f>
        <v>4.5315294230092968</v>
      </c>
      <c r="X10" s="6">
        <f t="shared" si="9"/>
        <v>1.3878152652785141</v>
      </c>
      <c r="Y10" s="9">
        <f t="shared" si="10"/>
        <v>2.3177069718042696E-2</v>
      </c>
      <c r="Z10" s="9">
        <f t="shared" si="11"/>
        <v>5.3717656071501174E-4</v>
      </c>
      <c r="AA10" s="6">
        <f>(C10-$AE$6)*24</f>
        <v>111.30000277783256</v>
      </c>
      <c r="AB10" s="17">
        <f t="shared" si="12"/>
        <v>0.99969425621167318</v>
      </c>
      <c r="AC10" s="6">
        <f t="shared" si="13"/>
        <v>1.3882397109468447</v>
      </c>
    </row>
    <row r="11" spans="1:31" x14ac:dyDescent="0.25">
      <c r="A11" s="29" t="s">
        <v>24</v>
      </c>
      <c r="B11" s="26">
        <v>43327.507292129631</v>
      </c>
      <c r="C11" s="14">
        <v>43331.159722222219</v>
      </c>
      <c r="D11" s="15">
        <v>71.78</v>
      </c>
      <c r="E11" s="32">
        <v>2.1800000000000002</v>
      </c>
      <c r="F11" s="9">
        <f t="shared" si="2"/>
        <v>1.5648040000000001</v>
      </c>
      <c r="G11" s="6">
        <f t="shared" si="3"/>
        <v>64.760000000000005</v>
      </c>
      <c r="H11" s="9">
        <f t="shared" si="14"/>
        <v>1.6395182758517821</v>
      </c>
      <c r="I11" s="16">
        <f t="shared" si="4"/>
        <v>87.658322222123388</v>
      </c>
      <c r="J11" s="13">
        <f t="shared" si="5"/>
        <v>1.6666666666666666E-2</v>
      </c>
      <c r="K11" s="6">
        <f>1-EXP(-$AE$3*I11)</f>
        <v>0.62826665034151385</v>
      </c>
      <c r="L11" s="9">
        <f t="shared" si="6"/>
        <v>1.1945369901664067E-4</v>
      </c>
      <c r="M11" s="6">
        <f>G11/((1+K11))</f>
        <v>39.772355459357463</v>
      </c>
      <c r="N11" s="9">
        <f t="shared" si="0"/>
        <v>1.0069385813934184</v>
      </c>
      <c r="O11" s="6">
        <f>M11*K11</f>
        <v>24.987644540642535</v>
      </c>
      <c r="P11" s="9">
        <f t="shared" si="1"/>
        <v>0.63264376896919716</v>
      </c>
      <c r="Q11" s="6">
        <f t="shared" si="7"/>
        <v>64.759999999999991</v>
      </c>
      <c r="R11" s="6">
        <v>0.82379999999999942</v>
      </c>
      <c r="S11" s="9">
        <v>1.4142135623730951E-4</v>
      </c>
      <c r="T11" s="6">
        <f>M11/R11</f>
        <v>48.279139911820209</v>
      </c>
      <c r="U11" s="9">
        <f t="shared" si="8"/>
        <v>1.2223376174625127</v>
      </c>
      <c r="V11" s="6">
        <f>SUM($T$2:T11)</f>
        <v>743.87412255101276</v>
      </c>
      <c r="W11" s="9">
        <f>SQRT((U11^2)+(U10^2)+(U9^2)+(U8^2)+(U7^2)+(U6^2)+(U5^2)+(U4^2)+(U3^2)+(U2^2))</f>
        <v>4.6934921074465343</v>
      </c>
      <c r="X11" s="6">
        <f t="shared" si="9"/>
        <v>0.66287259098929108</v>
      </c>
      <c r="Y11" s="9">
        <f t="shared" si="10"/>
        <v>1.6782309689890307E-2</v>
      </c>
      <c r="Z11" s="9">
        <f t="shared" si="11"/>
        <v>2.8164591852738606E-4</v>
      </c>
      <c r="AA11" s="6">
        <f>(C11-$AE$6)*24</f>
        <v>111.83333333325572</v>
      </c>
      <c r="AB11" s="17">
        <f t="shared" si="12"/>
        <v>0.99969279136485634</v>
      </c>
      <c r="AC11" s="6">
        <f t="shared" si="13"/>
        <v>0.66307629375249089</v>
      </c>
    </row>
    <row r="12" spans="1:31" x14ac:dyDescent="0.25">
      <c r="A12" s="29" t="s">
        <v>25</v>
      </c>
      <c r="B12" s="26">
        <v>43327.50763940972</v>
      </c>
      <c r="C12" s="14">
        <v>43331.182638888888</v>
      </c>
      <c r="D12" s="15">
        <v>35.549999999999997</v>
      </c>
      <c r="E12" s="32">
        <v>3.1</v>
      </c>
      <c r="F12" s="9">
        <f t="shared" si="2"/>
        <v>1.10205</v>
      </c>
      <c r="G12" s="6">
        <f t="shared" si="3"/>
        <v>28.529999999999998</v>
      </c>
      <c r="H12" s="9">
        <f t="shared" si="14"/>
        <v>1.2057872204232387</v>
      </c>
      <c r="I12" s="16">
        <f t="shared" si="4"/>
        <v>88.199987500032876</v>
      </c>
      <c r="J12" s="13">
        <f t="shared" si="5"/>
        <v>1.6666666666666666E-2</v>
      </c>
      <c r="K12" s="6">
        <f>1-EXP(-$AE$3*I12)</f>
        <v>0.63053282020069412</v>
      </c>
      <c r="L12" s="9">
        <f t="shared" si="6"/>
        <v>1.1914832002299681E-4</v>
      </c>
      <c r="M12" s="6">
        <f>G12/((1+K12))</f>
        <v>17.497347889316561</v>
      </c>
      <c r="N12" s="9">
        <f t="shared" si="0"/>
        <v>0.73951242044373378</v>
      </c>
      <c r="O12" s="6">
        <f>M12*K12</f>
        <v>11.032652110683435</v>
      </c>
      <c r="P12" s="9">
        <f t="shared" si="1"/>
        <v>0.46629151256213969</v>
      </c>
      <c r="Q12" s="6">
        <f t="shared" si="7"/>
        <v>28.529999999999994</v>
      </c>
      <c r="R12" s="6">
        <v>0.80250000000000021</v>
      </c>
      <c r="S12" s="9">
        <v>1.4142135623730951E-4</v>
      </c>
      <c r="T12" s="6">
        <f>M12/R12</f>
        <v>21.803548771734025</v>
      </c>
      <c r="U12" s="9">
        <f t="shared" si="8"/>
        <v>0.92151881483451503</v>
      </c>
      <c r="V12" s="6">
        <f>SUM($T$2:T12)</f>
        <v>765.67767132274673</v>
      </c>
      <c r="W12" s="9">
        <f>SQRT((U12^2)+(U11^2)+(U10^2)+(U9^2)+(U8^2)+(U7^2)+(U6^2)+(U5^2)+(U4^2)+(U3^2)+(U2^2))</f>
        <v>4.7831020362058885</v>
      </c>
      <c r="X12" s="6">
        <f t="shared" si="9"/>
        <v>0.29162246482194271</v>
      </c>
      <c r="Y12" s="9">
        <f t="shared" si="10"/>
        <v>1.2325207007395563E-2</v>
      </c>
      <c r="Z12" s="9">
        <f t="shared" si="11"/>
        <v>1.519107277751527E-4</v>
      </c>
      <c r="AA12" s="6">
        <f>(C12-$AE$6)*24</f>
        <v>112.38333333330229</v>
      </c>
      <c r="AB12" s="17">
        <f t="shared" si="12"/>
        <v>0.99969128073595626</v>
      </c>
      <c r="AC12" s="6">
        <f t="shared" si="13"/>
        <v>0.29171252209707688</v>
      </c>
    </row>
    <row r="13" spans="1:31" x14ac:dyDescent="0.25">
      <c r="A13" s="29" t="s">
        <v>26</v>
      </c>
      <c r="B13" s="26">
        <v>43327.507986689816</v>
      </c>
      <c r="C13" s="14">
        <v>43331.205555497683</v>
      </c>
      <c r="D13" s="15">
        <v>19.07</v>
      </c>
      <c r="E13" s="32">
        <v>4.2300000000000004</v>
      </c>
      <c r="F13" s="9">
        <f t="shared" si="2"/>
        <v>0.80666100000000007</v>
      </c>
      <c r="G13" s="6">
        <f t="shared" si="3"/>
        <v>12.05</v>
      </c>
      <c r="H13" s="9">
        <f t="shared" si="14"/>
        <v>0.94345672256707147</v>
      </c>
      <c r="I13" s="16">
        <f t="shared" si="4"/>
        <v>88.741651388816535</v>
      </c>
      <c r="J13" s="13">
        <f t="shared" si="5"/>
        <v>1.6666666666666666E-2</v>
      </c>
      <c r="K13" s="6">
        <f>1-EXP(-$AE$3*I13)</f>
        <v>0.63278516922160755</v>
      </c>
      <c r="L13" s="9">
        <f t="shared" si="6"/>
        <v>1.1884407515494896E-4</v>
      </c>
      <c r="M13" s="6">
        <f>G13/((1+K13))</f>
        <v>7.3800278365736007</v>
      </c>
      <c r="N13" s="9">
        <f t="shared" si="0"/>
        <v>0.57782214996180858</v>
      </c>
      <c r="O13" s="6">
        <f>M13*K13</f>
        <v>4.6699721634264</v>
      </c>
      <c r="P13" s="9">
        <f t="shared" si="1"/>
        <v>0.36563833888116082</v>
      </c>
      <c r="Q13" s="6">
        <f t="shared" si="7"/>
        <v>12.05</v>
      </c>
      <c r="R13" s="6">
        <v>0.81299999999999972</v>
      </c>
      <c r="S13" s="9">
        <v>1.4142135623730951E-4</v>
      </c>
      <c r="T13" s="6">
        <f>M13/R13</f>
        <v>9.0775250142356736</v>
      </c>
      <c r="U13" s="9">
        <f t="shared" si="8"/>
        <v>0.71073010581752971</v>
      </c>
      <c r="V13" s="6">
        <f>SUM($T$2:T13)</f>
        <v>774.75519633698241</v>
      </c>
      <c r="W13" s="9">
        <f>SQRT((U13^2)+(U12^2)+(U11^2)+(U10^2)+(U9^2)+(U8^2)+(U7^2)+(U6^2)+(U5^2)+(U4^2)+(U3^2)+(U2^2))</f>
        <v>4.835618096176777</v>
      </c>
      <c r="X13" s="6">
        <f t="shared" si="9"/>
        <v>0.12300046394289335</v>
      </c>
      <c r="Y13" s="9">
        <f t="shared" si="10"/>
        <v>9.6303691660301425E-3</v>
      </c>
      <c r="Z13" s="9">
        <f t="shared" si="11"/>
        <v>9.2744010274024109E-5</v>
      </c>
      <c r="AA13" s="6">
        <f>(C13-$AE$6)*24</f>
        <v>112.93333194439765</v>
      </c>
      <c r="AB13" s="17">
        <f t="shared" si="12"/>
        <v>0.99968977011315374</v>
      </c>
      <c r="AC13" s="6">
        <f t="shared" si="13"/>
        <v>0.12303863420446032</v>
      </c>
    </row>
    <row r="14" spans="1:31" x14ac:dyDescent="0.25">
      <c r="A14" s="29" t="s">
        <v>27</v>
      </c>
      <c r="B14" s="26">
        <v>43327.508333969905</v>
      </c>
      <c r="C14" s="14">
        <v>43331.228472164352</v>
      </c>
      <c r="D14" s="15">
        <v>14.53</v>
      </c>
      <c r="E14" s="32">
        <v>4.8499999999999996</v>
      </c>
      <c r="F14" s="9">
        <f t="shared" si="2"/>
        <v>0.70470499999999991</v>
      </c>
      <c r="G14" s="6">
        <f t="shared" si="3"/>
        <v>7.51</v>
      </c>
      <c r="H14" s="9">
        <f t="shared" si="14"/>
        <v>0.85791477167665076</v>
      </c>
      <c r="I14" s="16">
        <f t="shared" si="4"/>
        <v>89.283316666726023</v>
      </c>
      <c r="J14" s="13">
        <f t="shared" si="5"/>
        <v>1.6666666666666666E-2</v>
      </c>
      <c r="K14" s="6">
        <f>1-EXP(-$AE$3*I14)</f>
        <v>0.63502379317643565</v>
      </c>
      <c r="L14" s="9">
        <f t="shared" si="6"/>
        <v>1.1854095794604656E-4</v>
      </c>
      <c r="M14" s="6">
        <f>G14/((1+K14))</f>
        <v>4.5932053290857491</v>
      </c>
      <c r="N14" s="9">
        <f t="shared" si="0"/>
        <v>0.52471157953211012</v>
      </c>
      <c r="O14" s="6">
        <f>M14*K14</f>
        <v>2.9167946709142507</v>
      </c>
      <c r="P14" s="9">
        <f t="shared" si="1"/>
        <v>0.33320478242247981</v>
      </c>
      <c r="Q14" s="6">
        <f t="shared" si="7"/>
        <v>7.51</v>
      </c>
      <c r="R14" s="6">
        <v>0.80470000000000041</v>
      </c>
      <c r="S14" s="9">
        <v>1.4142135623730951E-4</v>
      </c>
      <c r="T14" s="6">
        <f>M14/R14</f>
        <v>5.7079723239539542</v>
      </c>
      <c r="U14" s="9">
        <f t="shared" si="8"/>
        <v>0.65205940159357678</v>
      </c>
      <c r="V14" s="6">
        <f>SUM($T$2:T14)</f>
        <v>780.46316866093639</v>
      </c>
      <c r="W14" s="9">
        <f>SQRT((U14^2)+(U13^2)+(U12^2)+(U11^2)+(U10^2)+(U9^2)+(U8^2)+(U7^2)+(U6^2)+(U5^2)+(U4^2)+(U3^2)+(U2^2))</f>
        <v>4.8793835507447962</v>
      </c>
      <c r="X14" s="6">
        <f t="shared" si="9"/>
        <v>7.6553422151429157E-2</v>
      </c>
      <c r="Y14" s="9">
        <f t="shared" si="10"/>
        <v>8.7451929922018369E-3</v>
      </c>
      <c r="Z14" s="9">
        <f t="shared" si="11"/>
        <v>7.6478400470856111E-5</v>
      </c>
      <c r="AA14" s="6">
        <f>(C14-$AE$6)*24</f>
        <v>113.48333194444422</v>
      </c>
      <c r="AB14" s="17">
        <f t="shared" si="12"/>
        <v>0.99968825948881901</v>
      </c>
      <c r="AC14" s="6">
        <f t="shared" si="13"/>
        <v>7.6577294396329126E-2</v>
      </c>
    </row>
    <row r="15" spans="1:31" x14ac:dyDescent="0.25">
      <c r="A15" s="29" t="s">
        <v>28</v>
      </c>
      <c r="B15" s="26">
        <v>43327.508681250001</v>
      </c>
      <c r="C15" s="14">
        <v>43331.25138883102</v>
      </c>
      <c r="D15" s="15">
        <v>11.08</v>
      </c>
      <c r="E15" s="32">
        <v>5.55</v>
      </c>
      <c r="F15" s="9">
        <f t="shared" si="2"/>
        <v>0.61494000000000004</v>
      </c>
      <c r="G15" s="6">
        <f t="shared" si="3"/>
        <v>4.0600000000000005</v>
      </c>
      <c r="H15" s="9">
        <f t="shared" si="14"/>
        <v>0.7858497452032418</v>
      </c>
      <c r="I15" s="16">
        <f t="shared" si="4"/>
        <v>89.824981944460887</v>
      </c>
      <c r="J15" s="13">
        <f t="shared" si="5"/>
        <v>1.6666666666666666E-2</v>
      </c>
      <c r="K15" s="6">
        <f>1-EXP(-$AE$3*I15)</f>
        <v>0.63724876997691804</v>
      </c>
      <c r="L15" s="9">
        <f t="shared" si="6"/>
        <v>1.1823896429520598E-4</v>
      </c>
      <c r="M15" s="6">
        <f>G15/((1+K15))</f>
        <v>2.4797697664828533</v>
      </c>
      <c r="N15" s="9">
        <f t="shared" si="0"/>
        <v>0.47998210209652986</v>
      </c>
      <c r="O15" s="6">
        <f>M15*K15</f>
        <v>1.5802302335171476</v>
      </c>
      <c r="P15" s="9">
        <f t="shared" si="1"/>
        <v>0.30586814470543233</v>
      </c>
      <c r="Q15" s="6">
        <f t="shared" si="7"/>
        <v>4.0600000000000005</v>
      </c>
      <c r="R15" s="6">
        <v>0.80020000000000024</v>
      </c>
      <c r="S15" s="9">
        <v>1.4142135623730951E-4</v>
      </c>
      <c r="T15" s="6">
        <f>M15/R15</f>
        <v>3.0989374737351318</v>
      </c>
      <c r="U15" s="9">
        <f t="shared" si="8"/>
        <v>0.59982792073864311</v>
      </c>
      <c r="V15" s="6">
        <f>SUM($T$2:T15)</f>
        <v>783.56210613467147</v>
      </c>
      <c r="W15" s="9">
        <f>SQRT((U15^2)+(U14^2)+(U13^2)+(U12^2)+(U11^2)+(U10^2)+(U9^2)+(U8^2)+(U7^2)+(U6^2)+(U5^2)+(U4^2)+(U3^2)+(U2^2))</f>
        <v>4.9161140517462094</v>
      </c>
      <c r="X15" s="6">
        <f t="shared" si="9"/>
        <v>4.1329496108047557E-2</v>
      </c>
      <c r="Y15" s="9">
        <f t="shared" si="10"/>
        <v>7.9997017016088315E-3</v>
      </c>
      <c r="Z15" s="9">
        <f t="shared" si="11"/>
        <v>6.3995227314723237E-5</v>
      </c>
      <c r="AA15" s="6">
        <f>(C15-$AE$6)*24</f>
        <v>114.03333194449078</v>
      </c>
      <c r="AB15" s="17">
        <f t="shared" si="12"/>
        <v>0.99968674886676689</v>
      </c>
      <c r="AC15" s="6">
        <f t="shared" si="13"/>
        <v>4.1342446676319547E-2</v>
      </c>
    </row>
    <row r="16" spans="1:31" x14ac:dyDescent="0.25">
      <c r="A16" s="29" t="s">
        <v>29</v>
      </c>
      <c r="B16" s="26">
        <v>43327.50902853009</v>
      </c>
      <c r="C16" s="14">
        <v>43331.274305497682</v>
      </c>
      <c r="D16" s="15">
        <v>8.83</v>
      </c>
      <c r="E16" s="32">
        <v>6.21</v>
      </c>
      <c r="F16" s="9">
        <f t="shared" si="2"/>
        <v>0.54834300000000002</v>
      </c>
      <c r="G16" s="6">
        <f t="shared" si="3"/>
        <v>1.8100000000000005</v>
      </c>
      <c r="H16" s="9">
        <f t="shared" si="14"/>
        <v>0.73490724862733525</v>
      </c>
      <c r="I16" s="16">
        <f t="shared" si="4"/>
        <v>90.366647222195752</v>
      </c>
      <c r="J16" s="13">
        <f t="shared" si="5"/>
        <v>1.6666666666666666E-2</v>
      </c>
      <c r="K16" s="6">
        <f>1-EXP(-$AE$3*I16)</f>
        <v>0.63946018281988704</v>
      </c>
      <c r="L16" s="9">
        <f t="shared" si="6"/>
        <v>1.1793808934240352E-4</v>
      </c>
      <c r="M16" s="6">
        <f>G16/((1+K16))</f>
        <v>1.1040219329308647</v>
      </c>
      <c r="N16" s="9">
        <f t="shared" si="0"/>
        <v>0.44826177064080186</v>
      </c>
      <c r="O16" s="6">
        <f>M16*K16</f>
        <v>0.7059780670691358</v>
      </c>
      <c r="P16" s="9">
        <f t="shared" si="1"/>
        <v>0.28664558337765456</v>
      </c>
      <c r="Q16" s="6">
        <f t="shared" si="7"/>
        <v>1.8100000000000005</v>
      </c>
      <c r="R16" s="6">
        <v>0.84699999999999953</v>
      </c>
      <c r="S16" s="9">
        <v>1.4142135623730951E-4</v>
      </c>
      <c r="T16" s="6">
        <f>M16/R16</f>
        <v>1.3034497437200299</v>
      </c>
      <c r="U16" s="9">
        <f t="shared" si="8"/>
        <v>0.52923472082921197</v>
      </c>
      <c r="V16" s="6">
        <f>SUM($T$2:T16)</f>
        <v>784.86555587839155</v>
      </c>
      <c r="W16" s="9">
        <f>SQRT((U16^2)+(U15^2)+(U14^2)+(U13^2)+(U12^2)+(U11^2)+(U10^2)+(U9^2)+(U8^2)+(U7^2)+(U6^2)+(U5^2)+(U4^2)+(U3^2)+(U2^2))</f>
        <v>4.9445188602641315</v>
      </c>
      <c r="X16" s="6">
        <f t="shared" si="9"/>
        <v>1.8400365548847743E-2</v>
      </c>
      <c r="Y16" s="9">
        <f t="shared" si="10"/>
        <v>7.4710295106800309E-3</v>
      </c>
      <c r="Z16" s="9">
        <f t="shared" si="11"/>
        <v>5.58162819494519E-5</v>
      </c>
      <c r="AA16" s="6">
        <f>(C16-$AE$6)*24</f>
        <v>114.58333194436273</v>
      </c>
      <c r="AB16" s="17">
        <f t="shared" si="12"/>
        <v>0.99968523824699806</v>
      </c>
      <c r="AC16" s="6">
        <f t="shared" si="13"/>
        <v>1.8406159103753272E-2</v>
      </c>
    </row>
    <row r="17" spans="1:29" ht="15.75" thickBot="1" x14ac:dyDescent="0.3">
      <c r="A17" s="30" t="s">
        <v>11</v>
      </c>
      <c r="B17" s="26">
        <v>43327.504166608793</v>
      </c>
      <c r="C17" s="14">
        <v>43331.29722216435</v>
      </c>
      <c r="D17" s="15">
        <v>7.02</v>
      </c>
      <c r="E17" s="32">
        <v>6.97</v>
      </c>
      <c r="F17" s="9">
        <f t="shared" si="2"/>
        <v>0.48929399999999995</v>
      </c>
      <c r="G17" s="6">
        <f t="shared" si="3"/>
        <v>0</v>
      </c>
      <c r="H17" s="9">
        <f t="shared" si="14"/>
        <v>0.69196621078778109</v>
      </c>
      <c r="I17" s="16">
        <f t="shared" si="4"/>
        <v>91.03333333338378</v>
      </c>
      <c r="J17" s="13">
        <f t="shared" si="5"/>
        <v>1.6666666666666666E-2</v>
      </c>
      <c r="K17" s="6">
        <f>1-EXP(-$AE$3*I17)</f>
        <v>0.64216350901635855</v>
      </c>
      <c r="L17" s="9">
        <f t="shared" si="6"/>
        <v>1.175692986114981E-4</v>
      </c>
      <c r="M17" s="6">
        <f>G17/((1+K17))</f>
        <v>0</v>
      </c>
      <c r="N17" s="9" t="e">
        <f t="shared" si="0"/>
        <v>#DIV/0!</v>
      </c>
      <c r="O17" s="6">
        <f>M17*K17</f>
        <v>0</v>
      </c>
      <c r="P17" s="9" t="e">
        <f t="shared" si="1"/>
        <v>#DIV/0!</v>
      </c>
      <c r="Q17" s="6">
        <f t="shared" si="7"/>
        <v>0</v>
      </c>
      <c r="R17" s="6"/>
      <c r="S17" s="9">
        <v>1.4142135623731E-4</v>
      </c>
      <c r="T17" s="6"/>
      <c r="U17" s="9" t="e">
        <f t="shared" si="8"/>
        <v>#DIV/0!</v>
      </c>
      <c r="V17" s="6"/>
      <c r="W17" s="9" t="e">
        <f>SQRT((U17^2)+(U16^2)+(U15^2)+(U14^2)+(U13^2)+(U12^2)+(U11^2)+(U10^2)+(U9^2)+(U8^2)+(U7^2)+(U6^2)+(U5^2)+(U4^2)+(U3^2)+(U2^2))</f>
        <v>#DIV/0!</v>
      </c>
      <c r="X17" s="6">
        <f t="shared" si="9"/>
        <v>0</v>
      </c>
      <c r="Y17" s="9" t="e">
        <f>X17*SQRT(((N17/M17)^2))</f>
        <v>#DIV/0!</v>
      </c>
      <c r="Z17" s="9" t="e">
        <f>Y17^2</f>
        <v>#DIV/0!</v>
      </c>
      <c r="AA17" s="6"/>
      <c r="AB17" s="6"/>
      <c r="AC17" s="6"/>
    </row>
    <row r="18" spans="1:29" x14ac:dyDescent="0.25">
      <c r="A18" s="2"/>
      <c r="B18" s="2"/>
      <c r="C18" s="2"/>
      <c r="D18" s="2"/>
      <c r="E18" s="18"/>
      <c r="F18" s="18"/>
      <c r="G18" s="2"/>
      <c r="H18" s="18"/>
      <c r="I18" s="2"/>
      <c r="J18" s="19"/>
      <c r="K18" s="2"/>
      <c r="L18" s="18"/>
      <c r="M18" s="2"/>
      <c r="N18" s="18"/>
      <c r="O18" s="2"/>
      <c r="P18" s="18"/>
      <c r="Q18" s="2"/>
      <c r="R18" s="2"/>
      <c r="S18" s="18"/>
      <c r="T18" s="2"/>
      <c r="U18" s="18"/>
      <c r="V18" s="2"/>
      <c r="W18" s="18"/>
      <c r="X18" s="2"/>
      <c r="Y18" s="18"/>
      <c r="Z18" s="18"/>
      <c r="AA18" s="2"/>
    </row>
    <row r="19" spans="1:29" x14ac:dyDescent="0.25">
      <c r="A19" s="2"/>
      <c r="B19" s="2"/>
      <c r="C19" s="2"/>
      <c r="D19" s="2"/>
      <c r="E19" s="18"/>
      <c r="F19" s="18"/>
      <c r="G19" s="2"/>
      <c r="H19" s="18"/>
      <c r="I19" s="2"/>
      <c r="J19" s="19"/>
      <c r="K19" s="2"/>
      <c r="L19" s="18"/>
      <c r="M19" s="2"/>
      <c r="N19" s="18"/>
      <c r="O19" s="2"/>
      <c r="P19" s="18"/>
      <c r="Q19" s="2"/>
      <c r="R19" s="2"/>
      <c r="S19" s="18"/>
      <c r="T19" s="2"/>
      <c r="U19" s="18"/>
      <c r="V19" s="2"/>
      <c r="W19" s="18"/>
      <c r="X19" s="2"/>
      <c r="Y19" s="18"/>
      <c r="Z19" s="18"/>
      <c r="AA19" s="2"/>
    </row>
    <row r="20" spans="1:29" x14ac:dyDescent="0.25">
      <c r="A20" s="2"/>
      <c r="B20" s="2"/>
      <c r="C20" s="2"/>
      <c r="D20" s="2"/>
      <c r="E20" s="18"/>
      <c r="F20" s="18"/>
      <c r="G20" s="2"/>
      <c r="H20" s="18"/>
      <c r="I20" s="2"/>
      <c r="J20" s="19"/>
      <c r="K20" s="2"/>
      <c r="L20" s="18"/>
      <c r="M20" s="2"/>
      <c r="N20" s="18"/>
      <c r="O20" s="2"/>
      <c r="P20" s="18"/>
      <c r="Q20" s="2"/>
      <c r="R20" s="2"/>
      <c r="S20" s="18"/>
      <c r="T20" s="2"/>
      <c r="U20" s="18"/>
      <c r="V20" s="2"/>
      <c r="W20" s="18"/>
      <c r="X20" s="2"/>
      <c r="Y20" s="18"/>
      <c r="Z20" s="18"/>
      <c r="AA20" s="2"/>
    </row>
    <row r="21" spans="1:29" x14ac:dyDescent="0.25">
      <c r="A21" s="2"/>
      <c r="B21" s="2"/>
      <c r="C21" s="2"/>
      <c r="D21" s="2"/>
      <c r="E21" s="18"/>
      <c r="F21" s="18"/>
      <c r="G21" s="2"/>
      <c r="H21" s="18"/>
      <c r="I21" s="2"/>
      <c r="J21" s="19"/>
      <c r="K21" s="2"/>
      <c r="L21" s="18"/>
      <c r="M21" s="2"/>
      <c r="N21" s="18"/>
      <c r="O21" s="2"/>
      <c r="P21" s="18"/>
      <c r="Q21" s="2"/>
      <c r="R21" s="2"/>
      <c r="S21" s="18"/>
      <c r="T21" s="2"/>
      <c r="U21" s="18"/>
      <c r="V21" s="2"/>
      <c r="W21" s="18"/>
      <c r="X21" s="2"/>
      <c r="Y21" s="18"/>
      <c r="Z21" s="18"/>
      <c r="AA21" s="2"/>
    </row>
    <row r="22" spans="1:29" x14ac:dyDescent="0.25">
      <c r="E22" s="18"/>
      <c r="F22" s="18"/>
      <c r="G22" s="2"/>
      <c r="H22" s="18"/>
      <c r="I22" s="2"/>
      <c r="J22" s="19"/>
      <c r="K22" s="2"/>
      <c r="L22" s="18"/>
      <c r="M22" s="2"/>
      <c r="N22" s="18"/>
      <c r="O22" s="2"/>
      <c r="P22" s="18"/>
      <c r="Q22" s="2"/>
      <c r="S22" s="8"/>
      <c r="U22" s="8"/>
    </row>
    <row r="23" spans="1:29" x14ac:dyDescent="0.25">
      <c r="E23" s="18"/>
      <c r="F23" s="18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W23" s="33" t="s">
        <v>48</v>
      </c>
      <c r="X23" s="4">
        <f>SUM(X1:X16)</f>
        <v>10.521531168729314</v>
      </c>
      <c r="Y23" s="33">
        <f>SQRT(SUM(Z1:Z16))</f>
        <v>6.6736772273835426E-2</v>
      </c>
      <c r="Z23" s="4"/>
      <c r="AB23" s="4"/>
    </row>
    <row r="24" spans="1:29" x14ac:dyDescent="0.25">
      <c r="E24" s="18"/>
      <c r="F24" s="18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7" spans="1:29" x14ac:dyDescent="0.25">
      <c r="G27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CT26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2021-06-16T16:17:08Z</dcterms:modified>
</cp:coreProperties>
</file>